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wnloads\"/>
    </mc:Choice>
  </mc:AlternateContent>
  <xr:revisionPtr revIDLastSave="0" documentId="13_ncr:1_{A1F340D4-A934-4E3F-AFA8-D6EAA07253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trantsDetails - 2022-11-20T1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9" i="1" l="1"/>
  <c r="B69" i="1"/>
  <c r="A69" i="1"/>
  <c r="O30" i="1"/>
  <c r="B30" i="1"/>
  <c r="A30" i="1"/>
  <c r="O25" i="1"/>
  <c r="O38" i="1"/>
  <c r="O47" i="1"/>
  <c r="O8" i="1"/>
  <c r="O28" i="1"/>
  <c r="O19" i="1"/>
  <c r="O16" i="1"/>
  <c r="O45" i="1"/>
  <c r="O24" i="1"/>
  <c r="O20" i="1"/>
  <c r="O43" i="1"/>
  <c r="O37" i="1"/>
  <c r="O67" i="1"/>
  <c r="O15" i="1"/>
  <c r="O34" i="1"/>
  <c r="O21" i="1"/>
  <c r="O10" i="1"/>
  <c r="O18" i="1"/>
  <c r="O66" i="1"/>
  <c r="O9" i="1"/>
  <c r="O26" i="1"/>
  <c r="O36" i="1"/>
  <c r="O33" i="1"/>
  <c r="O51" i="1"/>
  <c r="O55" i="1"/>
  <c r="O14" i="1"/>
  <c r="O42" i="1"/>
  <c r="O64" i="1"/>
  <c r="O35" i="1"/>
  <c r="O56" i="1"/>
  <c r="O62" i="1"/>
  <c r="O50" i="1"/>
  <c r="O22" i="1"/>
  <c r="O65" i="1"/>
  <c r="O23" i="1"/>
  <c r="O52" i="1"/>
  <c r="O13" i="1"/>
  <c r="O57" i="1"/>
  <c r="O53" i="1"/>
  <c r="O60" i="1"/>
  <c r="O40" i="1"/>
  <c r="O54" i="1"/>
  <c r="O44" i="1"/>
  <c r="O29" i="1"/>
  <c r="O58" i="1"/>
  <c r="O17" i="1"/>
  <c r="A67" i="1"/>
  <c r="A64" i="1"/>
  <c r="A66" i="1"/>
  <c r="A65" i="1"/>
  <c r="A62" i="1"/>
  <c r="A60" i="1"/>
  <c r="A54" i="1"/>
  <c r="A52" i="1"/>
  <c r="A51" i="1"/>
  <c r="A58" i="1"/>
  <c r="A56" i="1"/>
  <c r="A55" i="1"/>
  <c r="A50" i="1"/>
  <c r="A57" i="1"/>
  <c r="A53" i="1"/>
  <c r="A43" i="1"/>
  <c r="A45" i="1"/>
  <c r="A44" i="1"/>
  <c r="A42" i="1"/>
  <c r="A40" i="1"/>
  <c r="A34" i="1"/>
  <c r="A37" i="1"/>
  <c r="A35" i="1"/>
  <c r="A33" i="1"/>
  <c r="A36" i="1"/>
  <c r="A28" i="1"/>
  <c r="A29" i="1"/>
  <c r="A26" i="1"/>
  <c r="A19" i="1"/>
  <c r="A24" i="1"/>
  <c r="A20" i="1"/>
  <c r="A14" i="1"/>
  <c r="A22" i="1"/>
  <c r="A18" i="1"/>
  <c r="A21" i="1"/>
  <c r="A25" i="1"/>
  <c r="A17" i="1"/>
  <c r="A15" i="1"/>
  <c r="A13" i="1"/>
  <c r="A16" i="1"/>
  <c r="A23" i="1"/>
  <c r="A8" i="1"/>
  <c r="A9" i="1"/>
  <c r="A10" i="1"/>
  <c r="A11" i="1"/>
  <c r="A47" i="1"/>
  <c r="A48" i="1"/>
  <c r="B67" i="1"/>
  <c r="B64" i="1"/>
  <c r="B66" i="1"/>
  <c r="B65" i="1"/>
  <c r="B62" i="1"/>
  <c r="B60" i="1"/>
  <c r="B54" i="1"/>
  <c r="B52" i="1"/>
  <c r="B51" i="1"/>
  <c r="B58" i="1"/>
  <c r="B56" i="1"/>
  <c r="B55" i="1"/>
  <c r="B50" i="1"/>
  <c r="B57" i="1"/>
  <c r="B53" i="1"/>
  <c r="B43" i="1"/>
  <c r="B45" i="1"/>
  <c r="B44" i="1"/>
  <c r="B42" i="1"/>
  <c r="B40" i="1"/>
  <c r="B34" i="1"/>
  <c r="B37" i="1"/>
  <c r="B35" i="1"/>
  <c r="B33" i="1"/>
  <c r="B36" i="1"/>
  <c r="B38" i="1"/>
  <c r="B28" i="1"/>
  <c r="B29" i="1"/>
  <c r="B26" i="1"/>
  <c r="B19" i="1"/>
  <c r="B24" i="1"/>
  <c r="B20" i="1"/>
  <c r="B14" i="1"/>
  <c r="B22" i="1"/>
  <c r="B18" i="1"/>
  <c r="B21" i="1"/>
  <c r="B25" i="1"/>
  <c r="B17" i="1"/>
  <c r="B15" i="1"/>
  <c r="B13" i="1"/>
  <c r="B16" i="1"/>
  <c r="B23" i="1"/>
  <c r="B8" i="1"/>
  <c r="B9" i="1"/>
  <c r="B10" i="1"/>
  <c r="B11" i="1"/>
  <c r="B47" i="1"/>
  <c r="B48" i="1"/>
</calcChain>
</file>

<file path=xl/sharedStrings.xml><?xml version="1.0" encoding="utf-8"?>
<sst xmlns="http://schemas.openxmlformats.org/spreadsheetml/2006/main" count="297" uniqueCount="174">
  <si>
    <t>Furmage</t>
  </si>
  <si>
    <t>John</t>
  </si>
  <si>
    <t>Denham</t>
  </si>
  <si>
    <t>Herbert</t>
  </si>
  <si>
    <t>Clubman</t>
  </si>
  <si>
    <t>Martin</t>
  </si>
  <si>
    <t>Bartlett</t>
  </si>
  <si>
    <t>Peter</t>
  </si>
  <si>
    <t>Penton</t>
  </si>
  <si>
    <t>Jordan</t>
  </si>
  <si>
    <t>Peach</t>
  </si>
  <si>
    <t>Ian</t>
  </si>
  <si>
    <t>Ballard</t>
  </si>
  <si>
    <t>Novice</t>
  </si>
  <si>
    <t>Jon</t>
  </si>
  <si>
    <t>Hunter</t>
  </si>
  <si>
    <t>Graham</t>
  </si>
  <si>
    <t>Butt</t>
  </si>
  <si>
    <t>Richard</t>
  </si>
  <si>
    <t>Gennings</t>
  </si>
  <si>
    <t>Ronnie</t>
  </si>
  <si>
    <t>Allen</t>
  </si>
  <si>
    <t>Vladimiro</t>
  </si>
  <si>
    <t>Sassone</t>
  </si>
  <si>
    <t>Steve</t>
  </si>
  <si>
    <t>Leigh</t>
  </si>
  <si>
    <t>Mark</t>
  </si>
  <si>
    <t>Greenwood</t>
  </si>
  <si>
    <t>Ryalls</t>
  </si>
  <si>
    <t>David</t>
  </si>
  <si>
    <t>Brickell</t>
  </si>
  <si>
    <t>Malcolm</t>
  </si>
  <si>
    <t>Mullender</t>
  </si>
  <si>
    <t>Chris</t>
  </si>
  <si>
    <t>Watson</t>
  </si>
  <si>
    <t>Dodds</t>
  </si>
  <si>
    <t>Michael</t>
  </si>
  <si>
    <t>Orr</t>
  </si>
  <si>
    <t>Andy</t>
  </si>
  <si>
    <t>Withers</t>
  </si>
  <si>
    <t>Pre-65 D</t>
  </si>
  <si>
    <t>Jim</t>
  </si>
  <si>
    <t>Gray</t>
  </si>
  <si>
    <t>Leo</t>
  </si>
  <si>
    <t>Swinfen</t>
  </si>
  <si>
    <t>Sportsman</t>
  </si>
  <si>
    <t>Wiseman</t>
  </si>
  <si>
    <t>Daniel</t>
  </si>
  <si>
    <t>Aaron</t>
  </si>
  <si>
    <t>Gamblin</t>
  </si>
  <si>
    <t>Matthew</t>
  </si>
  <si>
    <t>Rowden</t>
  </si>
  <si>
    <t>Nick</t>
  </si>
  <si>
    <t>Fox</t>
  </si>
  <si>
    <t>Greg</t>
  </si>
  <si>
    <t>Seymour</t>
  </si>
  <si>
    <t>Billingham</t>
  </si>
  <si>
    <t>Twin Shock C</t>
  </si>
  <si>
    <t>Wagstaff</t>
  </si>
  <si>
    <t>Twin Shock D</t>
  </si>
  <si>
    <t>Titcombe</t>
  </si>
  <si>
    <t>Stewart</t>
  </si>
  <si>
    <t>Carey-Hodges</t>
  </si>
  <si>
    <t>Trevor</t>
  </si>
  <si>
    <t>Newell</t>
  </si>
  <si>
    <t>Westbrook</t>
  </si>
  <si>
    <t>Bird</t>
  </si>
  <si>
    <t>Veteran</t>
  </si>
  <si>
    <t>Andrew</t>
  </si>
  <si>
    <t>Bryant</t>
  </si>
  <si>
    <t>Shamus</t>
  </si>
  <si>
    <t>Doohan</t>
  </si>
  <si>
    <t>Neil</t>
  </si>
  <si>
    <t>Bungay</t>
  </si>
  <si>
    <t>Brian</t>
  </si>
  <si>
    <t>Page</t>
  </si>
  <si>
    <t>James</t>
  </si>
  <si>
    <t>Curnick</t>
  </si>
  <si>
    <t>Mick</t>
  </si>
  <si>
    <t>Treagus</t>
  </si>
  <si>
    <t>Gatrell</t>
  </si>
  <si>
    <t>Clive</t>
  </si>
  <si>
    <t>Wilson</t>
  </si>
  <si>
    <t>Billy</t>
  </si>
  <si>
    <t>Guilford</t>
  </si>
  <si>
    <t>Youth C</t>
  </si>
  <si>
    <t>Samuel</t>
  </si>
  <si>
    <t>Youth D</t>
  </si>
  <si>
    <t>Finley</t>
  </si>
  <si>
    <t>Adam</t>
  </si>
  <si>
    <t>Scott</t>
  </si>
  <si>
    <t>Dexter</t>
  </si>
  <si>
    <t>Leon</t>
  </si>
  <si>
    <t>Baude</t>
  </si>
  <si>
    <t>Vertigo Camo 300</t>
  </si>
  <si>
    <t>BSA B40</t>
  </si>
  <si>
    <t>Ariel HT500</t>
  </si>
  <si>
    <t>TRS RR 250</t>
  </si>
  <si>
    <t>Beta 200</t>
  </si>
  <si>
    <t>Beta 4T 250</t>
  </si>
  <si>
    <t>Beta Evo 200</t>
  </si>
  <si>
    <t>Beta Evo 290</t>
  </si>
  <si>
    <t>Montesa 315R</t>
  </si>
  <si>
    <t>Sherco 290</t>
  </si>
  <si>
    <t>Scorpa Factory 300</t>
  </si>
  <si>
    <t>Gas Gas 125</t>
  </si>
  <si>
    <t>Beta Rev 3 270</t>
  </si>
  <si>
    <t>Sherco ST 300</t>
  </si>
  <si>
    <t>Montesa 4RT</t>
  </si>
  <si>
    <t>Ariel HT5</t>
  </si>
  <si>
    <t>Beta 250</t>
  </si>
  <si>
    <t>Gas Gas 300</t>
  </si>
  <si>
    <t>Sherco ST300</t>
  </si>
  <si>
    <t>Sherco ST Factory 250</t>
  </si>
  <si>
    <t>Sherco Factory ST 250</t>
  </si>
  <si>
    <t>Gas Gas 250</t>
  </si>
  <si>
    <t>Yamaha Majesty 175</t>
  </si>
  <si>
    <t>Honda TLR 200</t>
  </si>
  <si>
    <t>Honda TLM 80</t>
  </si>
  <si>
    <t>Honda TL 125</t>
  </si>
  <si>
    <t>Royal Enfield 350</t>
  </si>
  <si>
    <t>Ossa Mar 250</t>
  </si>
  <si>
    <t>Montesa 260</t>
  </si>
  <si>
    <t>Gas Gas TXT Racing 250</t>
  </si>
  <si>
    <t>TRS 250</t>
  </si>
  <si>
    <t>TRRS 250</t>
  </si>
  <si>
    <t>Gas Gas TXT 300</t>
  </si>
  <si>
    <t>Sherco 300</t>
  </si>
  <si>
    <t>Oset 20</t>
  </si>
  <si>
    <t>Oset</t>
  </si>
  <si>
    <t>Boost Bike</t>
  </si>
  <si>
    <t>Oset 20R</t>
  </si>
  <si>
    <t>Results</t>
  </si>
  <si>
    <t>Waltham Chase Trials MCC - Club Championship 2022,  Round 7</t>
  </si>
  <si>
    <t>Hut Hill, Sunday 20th November 2022 - Permit ACU64408</t>
  </si>
  <si>
    <t>S1</t>
  </si>
  <si>
    <t>S2</t>
  </si>
  <si>
    <t>S3</t>
  </si>
  <si>
    <t>S4</t>
  </si>
  <si>
    <t>S5</t>
  </si>
  <si>
    <t>S6</t>
  </si>
  <si>
    <t>S7</t>
  </si>
  <si>
    <t>S8</t>
  </si>
  <si>
    <t>Total</t>
  </si>
  <si>
    <t>Pos.</t>
  </si>
  <si>
    <t>Points</t>
  </si>
  <si>
    <t>Unclassified</t>
  </si>
  <si>
    <t>Tony</t>
  </si>
  <si>
    <t>No.</t>
  </si>
  <si>
    <t>ACU No.</t>
  </si>
  <si>
    <t>Name</t>
  </si>
  <si>
    <t>Class</t>
  </si>
  <si>
    <t>Machine</t>
  </si>
  <si>
    <t xml:space="preserve">Geoff </t>
  </si>
  <si>
    <t>Terry</t>
  </si>
  <si>
    <t>Youth C  Electric</t>
  </si>
  <si>
    <t>1st</t>
  </si>
  <si>
    <t>2nd</t>
  </si>
  <si>
    <t>3rd</t>
  </si>
  <si>
    <t>DNF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</si>
  <si>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</si>
  <si>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</si>
  <si>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</si>
  <si>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</si>
  <si>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</si>
  <si>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</si>
  <si>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</si>
  <si>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</si>
  <si>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</si>
  <si>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</si>
  <si>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</si>
  <si>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35 Cleans</t>
  </si>
  <si>
    <t>UC</t>
  </si>
  <si>
    <t>Youth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</si>
</sst>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0" fillId="0" borderId="10" xfId="0" applyBorder="1" applyAlignment="1">
      <alignment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0" fillId="0" borderId="12" xfId="0" applyBorder="1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6" fillId="0" borderId="11" xfId="0" applyFont="1" applyBorder="1" applyAlignment="1">
      <alignment horizontal="center"/>
    </xf>
    <xf numFmtId="0" fontId="16" fillId="0" borderId="11" xfId="0" applyFont="1" applyBorder="1"/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"/>
  <sheetViews>
    <sheetView showGridLines="0" tabSelected="1" topLeftCell="A28" workbookViewId="0">
      <selection activeCell="B32" sqref="B32"/>
    </sheetView>
  </sheetViews>
  <sheetFormatPr defaultRowHeight="15" x14ac:dyDescent="0.25"/>
  <cols>
    <col min="1" max="1" width="7.5703125" style="2" customWidth="1"/>
    <col min="2" max="2" width="10.7109375" style="2" customWidth="1"/>
    <col min="3" max="3" width="13.7109375" customWidth="1"/>
    <col min="4" max="5" width="16.28515625" customWidth="1"/>
    <col min="6" max="6" width="22" customWidth="1"/>
    <col min="7" max="17" width="7.7109375" style="2" customWidth="1"/>
  </cols>
  <sheetData>
    <row r="1" spans="1:18" x14ac:dyDescent="0.25">
      <c r="A1" s="17" t="s">
        <v>132</v>
      </c>
      <c r="B1" s="17"/>
      <c r="C1" s="17"/>
      <c r="D1" s="17"/>
      <c r="E1" s="17"/>
      <c r="F1" s="17"/>
    </row>
    <row r="2" spans="1:18" x14ac:dyDescent="0.25">
      <c r="B2" s="3"/>
      <c r="C2" s="3"/>
      <c r="D2" s="3"/>
      <c r="E2" s="4"/>
      <c r="F2" s="3"/>
    </row>
    <row r="3" spans="1:18" x14ac:dyDescent="0.25">
      <c r="A3" s="17" t="s">
        <v>133</v>
      </c>
      <c r="B3" s="17"/>
      <c r="C3" s="17"/>
      <c r="D3" s="17"/>
      <c r="E3" s="17"/>
      <c r="F3" s="17"/>
    </row>
    <row r="4" spans="1:18" x14ac:dyDescent="0.25">
      <c r="B4" s="3"/>
      <c r="C4" s="3"/>
      <c r="D4" s="3"/>
      <c r="E4" s="4"/>
      <c r="F4" s="3"/>
    </row>
    <row r="5" spans="1:18" x14ac:dyDescent="0.25">
      <c r="A5" s="17" t="s">
        <v>134</v>
      </c>
      <c r="B5" s="17"/>
      <c r="C5" s="17"/>
      <c r="D5" s="17"/>
      <c r="E5" s="17"/>
      <c r="F5" s="17"/>
    </row>
    <row r="6" spans="1:18" x14ac:dyDescent="0.25">
      <c r="B6" s="3"/>
      <c r="C6" s="3"/>
      <c r="D6" s="3"/>
      <c r="E6" s="4"/>
      <c r="F6" s="3"/>
    </row>
    <row r="7" spans="1:18" s="4" customFormat="1" x14ac:dyDescent="0.25">
      <c r="A7" s="8" t="s">
        <v>148</v>
      </c>
      <c r="B7" s="8" t="s">
        <v>149</v>
      </c>
      <c r="C7" s="18" t="s">
        <v>150</v>
      </c>
      <c r="D7" s="19"/>
      <c r="E7" s="9" t="s">
        <v>151</v>
      </c>
      <c r="F7" s="9" t="s">
        <v>152</v>
      </c>
      <c r="G7" s="8" t="s">
        <v>135</v>
      </c>
      <c r="H7" s="8" t="s">
        <v>136</v>
      </c>
      <c r="I7" s="8" t="s">
        <v>137</v>
      </c>
      <c r="J7" s="8" t="s">
        <v>138</v>
      </c>
      <c r="K7" s="8" t="s">
        <v>139</v>
      </c>
      <c r="L7" s="8" t="s">
        <v>140</v>
      </c>
      <c r="M7" s="8" t="s">
        <v>141</v>
      </c>
      <c r="N7" s="8" t="s">
        <v>142</v>
      </c>
      <c r="O7" s="8" t="s">
        <v>143</v>
      </c>
      <c r="P7" s="8" t="s">
        <v>144</v>
      </c>
      <c r="Q7" s="8" t="s">
        <v>145</v>
      </c>
    </row>
    <row r="8" spans="1:18" x14ac:dyDescent="0.25">
      <c r="A8" s="6" t="str">
        <f>("800")</f>
        <v>800</v>
      </c>
      <c r="B8" s="6" t="str">
        <f>("199712")</f>
        <v>199712</v>
      </c>
      <c r="C8" s="5" t="s">
        <v>9</v>
      </c>
      <c r="D8" s="5" t="s">
        <v>10</v>
      </c>
      <c r="E8" s="5" t="s">
        <v>4</v>
      </c>
      <c r="F8" s="5" t="s">
        <v>111</v>
      </c>
      <c r="G8" s="6">
        <v>0</v>
      </c>
      <c r="H8" s="6">
        <v>6</v>
      </c>
      <c r="I8" s="6">
        <v>9</v>
      </c>
      <c r="J8" s="6">
        <v>0</v>
      </c>
      <c r="K8" s="6">
        <v>4</v>
      </c>
      <c r="L8" s="6">
        <v>8</v>
      </c>
      <c r="M8" s="6">
        <v>2</v>
      </c>
      <c r="N8" s="6">
        <v>1</v>
      </c>
      <c r="O8" s="6">
        <f>SUM(G8:N8)</f>
        <v>30</v>
      </c>
      <c r="P8" s="6" t="s">
        <v>156</v>
      </c>
      <c r="Q8" s="6">
        <v>20</v>
      </c>
    </row>
    <row r="9" spans="1:18" x14ac:dyDescent="0.25">
      <c r="A9" s="7" t="str">
        <f>("249")</f>
        <v>249</v>
      </c>
      <c r="B9" s="7" t="str">
        <f>("74864")</f>
        <v>74864</v>
      </c>
      <c r="C9" s="1" t="s">
        <v>7</v>
      </c>
      <c r="D9" s="1" t="s">
        <v>8</v>
      </c>
      <c r="E9" s="1" t="s">
        <v>4</v>
      </c>
      <c r="F9" s="1" t="s">
        <v>98</v>
      </c>
      <c r="G9" s="7">
        <v>0</v>
      </c>
      <c r="H9" s="7">
        <v>18</v>
      </c>
      <c r="I9" s="7">
        <v>9</v>
      </c>
      <c r="J9" s="7">
        <v>6</v>
      </c>
      <c r="K9" s="7">
        <v>11</v>
      </c>
      <c r="L9" s="7">
        <v>16</v>
      </c>
      <c r="M9" s="7">
        <v>5</v>
      </c>
      <c r="N9" s="7">
        <v>13</v>
      </c>
      <c r="O9" s="6">
        <f>SUM(G9:N9)</f>
        <v>78</v>
      </c>
      <c r="P9" s="7" t="s">
        <v>157</v>
      </c>
      <c r="Q9" s="7">
        <v>17</v>
      </c>
    </row>
    <row r="10" spans="1:18" x14ac:dyDescent="0.25">
      <c r="A10" s="7" t="str">
        <f>("288")</f>
        <v>288</v>
      </c>
      <c r="B10" s="7" t="str">
        <f>("143205")</f>
        <v>143205</v>
      </c>
      <c r="C10" s="1" t="s">
        <v>5</v>
      </c>
      <c r="D10" s="1" t="s">
        <v>6</v>
      </c>
      <c r="E10" s="1" t="s">
        <v>4</v>
      </c>
      <c r="F10" s="1" t="s">
        <v>97</v>
      </c>
      <c r="G10" s="7">
        <v>3</v>
      </c>
      <c r="H10" s="7">
        <v>21</v>
      </c>
      <c r="I10" s="7">
        <v>8</v>
      </c>
      <c r="J10" s="7">
        <v>7</v>
      </c>
      <c r="K10" s="7">
        <v>19</v>
      </c>
      <c r="L10" s="7">
        <v>21</v>
      </c>
      <c r="M10" s="7">
        <v>1</v>
      </c>
      <c r="N10" s="7">
        <v>3</v>
      </c>
      <c r="O10" s="6">
        <f>SUM(G10:N10)</f>
        <v>83</v>
      </c>
      <c r="P10" s="7" t="s">
        <v>158</v>
      </c>
      <c r="Q10" s="7">
        <v>15</v>
      </c>
    </row>
    <row r="11" spans="1:18" x14ac:dyDescent="0.25">
      <c r="A11" s="7" t="str">
        <f>("113")</f>
        <v>113</v>
      </c>
      <c r="B11" s="7" t="str">
        <f>("31941")</f>
        <v>31941</v>
      </c>
      <c r="C11" s="1" t="s">
        <v>153</v>
      </c>
      <c r="D11" s="1" t="s">
        <v>3</v>
      </c>
      <c r="E11" s="1" t="s">
        <v>4</v>
      </c>
      <c r="F11" s="1" t="s">
        <v>96</v>
      </c>
      <c r="G11" s="7" t="s">
        <v>159</v>
      </c>
      <c r="H11" s="7" t="s">
        <v>159</v>
      </c>
      <c r="I11" s="7" t="s">
        <v>159</v>
      </c>
      <c r="J11" s="7" t="s">
        <v>159</v>
      </c>
      <c r="K11" s="7" t="s">
        <v>159</v>
      </c>
      <c r="L11" s="7" t="s">
        <v>159</v>
      </c>
      <c r="M11" s="7" t="s">
        <v>159</v>
      </c>
      <c r="N11" s="7" t="s">
        <v>159</v>
      </c>
      <c r="O11" s="7" t="s">
        <v>159</v>
      </c>
      <c r="P11" s="7" t="s">
        <v>159</v>
      </c>
      <c r="Q11" s="7" t="s">
        <v>159</v>
      </c>
    </row>
    <row r="12" spans="1:18" x14ac:dyDescent="0.25">
      <c r="A12" s="7"/>
      <c r="B12" s="7"/>
      <c r="C12" s="1"/>
      <c r="D12" s="1"/>
      <c r="E12" s="1"/>
      <c r="F12" s="1"/>
      <c r="G12" s="7"/>
      <c r="H12" s="7"/>
      <c r="I12" s="7"/>
      <c r="J12" s="7"/>
      <c r="K12" s="7"/>
      <c r="L12" s="7"/>
      <c r="M12" s="7"/>
      <c r="N12" s="7"/>
      <c r="O12" s="6"/>
      <c r="P12" s="7"/>
      <c r="Q12" s="7"/>
    </row>
    <row r="13" spans="1:18" x14ac:dyDescent="0.25">
      <c r="A13" s="7" t="str">
        <f>("61")</f>
        <v>61</v>
      </c>
      <c r="B13" s="7" t="str">
        <f>("27425")</f>
        <v>27425</v>
      </c>
      <c r="C13" s="1" t="s">
        <v>16</v>
      </c>
      <c r="D13" s="1" t="s">
        <v>17</v>
      </c>
      <c r="E13" s="1" t="s">
        <v>13</v>
      </c>
      <c r="F13" s="1" t="s">
        <v>97</v>
      </c>
      <c r="G13" s="7">
        <v>0</v>
      </c>
      <c r="H13" s="7">
        <v>1</v>
      </c>
      <c r="I13" s="7">
        <v>5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6">
        <f t="shared" ref="O13:O26" si="0">SUM(G13:N13)</f>
        <v>6</v>
      </c>
      <c r="P13" s="7" t="s">
        <v>156</v>
      </c>
      <c r="Q13" s="7">
        <v>20</v>
      </c>
    </row>
    <row r="14" spans="1:18" x14ac:dyDescent="0.25">
      <c r="A14" s="7" t="str">
        <f>("169")</f>
        <v>169</v>
      </c>
      <c r="B14" s="7" t="str">
        <f>("180171")</f>
        <v>180171</v>
      </c>
      <c r="C14" s="1" t="s">
        <v>29</v>
      </c>
      <c r="D14" s="1" t="s">
        <v>30</v>
      </c>
      <c r="E14" s="1" t="s">
        <v>13</v>
      </c>
      <c r="F14" s="1" t="s">
        <v>106</v>
      </c>
      <c r="G14" s="7">
        <v>1</v>
      </c>
      <c r="H14" s="7">
        <v>1</v>
      </c>
      <c r="I14" s="7">
        <v>4</v>
      </c>
      <c r="J14" s="7">
        <v>0</v>
      </c>
      <c r="K14" s="7">
        <v>0</v>
      </c>
      <c r="L14" s="7">
        <v>1</v>
      </c>
      <c r="M14" s="7">
        <v>0</v>
      </c>
      <c r="N14" s="7">
        <v>0</v>
      </c>
      <c r="O14" s="6">
        <f t="shared" si="0"/>
        <v>7</v>
      </c>
      <c r="P14" s="7" t="s">
        <v>157</v>
      </c>
      <c r="Q14" s="7">
        <v>17</v>
      </c>
      <c r="R14" t="s">
        <v>171</v>
      </c>
    </row>
    <row r="15" spans="1:18" x14ac:dyDescent="0.25">
      <c r="A15" s="7" t="str">
        <f>("401")</f>
        <v>401</v>
      </c>
      <c r="B15" s="7" t="str">
        <f>("136575")</f>
        <v>136575</v>
      </c>
      <c r="C15" s="1" t="s">
        <v>18</v>
      </c>
      <c r="D15" s="1" t="s">
        <v>19</v>
      </c>
      <c r="E15" s="1" t="s">
        <v>13</v>
      </c>
      <c r="F15" s="1" t="s">
        <v>101</v>
      </c>
      <c r="G15" s="7">
        <v>1</v>
      </c>
      <c r="H15" s="7">
        <v>1</v>
      </c>
      <c r="I15" s="7">
        <v>2</v>
      </c>
      <c r="J15" s="7">
        <v>0</v>
      </c>
      <c r="K15" s="7">
        <v>0</v>
      </c>
      <c r="L15" s="7">
        <v>3</v>
      </c>
      <c r="M15" s="7">
        <v>0</v>
      </c>
      <c r="N15" s="7">
        <v>0</v>
      </c>
      <c r="O15" s="6">
        <f t="shared" si="0"/>
        <v>7</v>
      </c>
      <c r="P15" s="7" t="s">
        <v>157</v>
      </c>
      <c r="Q15" s="7">
        <v>17</v>
      </c>
      <c r="R15" t="s">
        <v>171</v>
      </c>
    </row>
    <row r="16" spans="1:18" x14ac:dyDescent="0.25">
      <c r="A16" s="7" t="str">
        <f>("481")</f>
        <v>481</v>
      </c>
      <c r="B16" s="7" t="str">
        <f>("211098")</f>
        <v>211098</v>
      </c>
      <c r="C16" s="1" t="s">
        <v>14</v>
      </c>
      <c r="D16" s="1" t="s">
        <v>15</v>
      </c>
      <c r="E16" s="1" t="s">
        <v>13</v>
      </c>
      <c r="F16" s="1" t="s">
        <v>100</v>
      </c>
      <c r="G16" s="7">
        <v>1</v>
      </c>
      <c r="H16" s="7">
        <v>1</v>
      </c>
      <c r="I16" s="7">
        <v>3</v>
      </c>
      <c r="J16" s="7">
        <v>0</v>
      </c>
      <c r="K16" s="7">
        <v>1</v>
      </c>
      <c r="L16" s="7">
        <v>3</v>
      </c>
      <c r="M16" s="7">
        <v>1</v>
      </c>
      <c r="N16" s="7">
        <v>0</v>
      </c>
      <c r="O16" s="6">
        <f t="shared" si="0"/>
        <v>10</v>
      </c>
      <c r="P16" s="7" t="s">
        <v>161</v>
      </c>
      <c r="Q16" s="7">
        <v>15</v>
      </c>
    </row>
    <row r="17" spans="1:17" x14ac:dyDescent="0.25">
      <c r="A17" s="7" t="str">
        <f>("11")</f>
        <v>11</v>
      </c>
      <c r="B17" s="7" t="str">
        <f>("186048")</f>
        <v>186048</v>
      </c>
      <c r="C17" s="1" t="s">
        <v>20</v>
      </c>
      <c r="D17" s="1" t="s">
        <v>21</v>
      </c>
      <c r="E17" s="1" t="s">
        <v>13</v>
      </c>
      <c r="F17" s="1" t="s">
        <v>102</v>
      </c>
      <c r="G17" s="7">
        <v>1</v>
      </c>
      <c r="H17" s="7">
        <v>6</v>
      </c>
      <c r="I17" s="7">
        <v>1</v>
      </c>
      <c r="J17" s="7">
        <v>0</v>
      </c>
      <c r="K17" s="7">
        <v>1</v>
      </c>
      <c r="L17" s="7">
        <v>1</v>
      </c>
      <c r="M17" s="7">
        <v>0</v>
      </c>
      <c r="N17" s="7">
        <v>1</v>
      </c>
      <c r="O17" s="6">
        <f t="shared" si="0"/>
        <v>11</v>
      </c>
      <c r="P17" s="7" t="s">
        <v>160</v>
      </c>
      <c r="Q17" s="7">
        <v>13</v>
      </c>
    </row>
    <row r="18" spans="1:17" x14ac:dyDescent="0.25">
      <c r="A18" s="7" t="str">
        <f>("259")</f>
        <v>259</v>
      </c>
      <c r="B18" s="7" t="str">
        <f>("215070")</f>
        <v>215070</v>
      </c>
      <c r="C18" s="1" t="s">
        <v>26</v>
      </c>
      <c r="D18" s="1" t="s">
        <v>27</v>
      </c>
      <c r="E18" s="1" t="s">
        <v>13</v>
      </c>
      <c r="F18" s="1" t="s">
        <v>104</v>
      </c>
      <c r="G18" s="7">
        <v>1</v>
      </c>
      <c r="H18" s="7">
        <v>0</v>
      </c>
      <c r="I18" s="7">
        <v>11</v>
      </c>
      <c r="J18" s="7">
        <v>0</v>
      </c>
      <c r="K18" s="7">
        <v>0</v>
      </c>
      <c r="L18" s="7">
        <v>1</v>
      </c>
      <c r="M18" s="7">
        <v>0</v>
      </c>
      <c r="N18" s="7">
        <v>0</v>
      </c>
      <c r="O18" s="6">
        <f t="shared" si="0"/>
        <v>13</v>
      </c>
      <c r="P18" s="7" t="s">
        <v>162</v>
      </c>
      <c r="Q18" s="7">
        <v>11</v>
      </c>
    </row>
    <row r="19" spans="1:17" x14ac:dyDescent="0.25">
      <c r="A19" s="7" t="str">
        <f>("493")</f>
        <v>493</v>
      </c>
      <c r="B19" s="7" t="str">
        <f>("209691")</f>
        <v>209691</v>
      </c>
      <c r="C19" s="1" t="s">
        <v>24</v>
      </c>
      <c r="D19" s="1" t="s">
        <v>35</v>
      </c>
      <c r="E19" s="1" t="s">
        <v>13</v>
      </c>
      <c r="F19" s="1" t="s">
        <v>107</v>
      </c>
      <c r="G19" s="7">
        <v>0</v>
      </c>
      <c r="H19" s="7">
        <v>1</v>
      </c>
      <c r="I19" s="7">
        <v>5</v>
      </c>
      <c r="J19" s="7">
        <v>1</v>
      </c>
      <c r="K19" s="7">
        <v>1</v>
      </c>
      <c r="L19" s="7">
        <v>3</v>
      </c>
      <c r="M19" s="7">
        <v>3</v>
      </c>
      <c r="N19" s="7">
        <v>1</v>
      </c>
      <c r="O19" s="6">
        <f t="shared" si="0"/>
        <v>15</v>
      </c>
      <c r="P19" s="7" t="s">
        <v>163</v>
      </c>
      <c r="Q19" s="7">
        <v>10</v>
      </c>
    </row>
    <row r="20" spans="1:17" x14ac:dyDescent="0.25">
      <c r="A20" s="7" t="str">
        <f>("450")</f>
        <v>450</v>
      </c>
      <c r="B20" s="7" t="str">
        <f>("195443")</f>
        <v>195443</v>
      </c>
      <c r="C20" s="1" t="s">
        <v>31</v>
      </c>
      <c r="D20" s="1" t="s">
        <v>32</v>
      </c>
      <c r="E20" s="1" t="s">
        <v>13</v>
      </c>
      <c r="F20" s="1" t="s">
        <v>103</v>
      </c>
      <c r="G20" s="7">
        <v>0</v>
      </c>
      <c r="H20" s="7">
        <v>1</v>
      </c>
      <c r="I20" s="7">
        <v>5</v>
      </c>
      <c r="J20" s="7">
        <v>1</v>
      </c>
      <c r="K20" s="7">
        <v>5</v>
      </c>
      <c r="L20" s="7">
        <v>1</v>
      </c>
      <c r="M20" s="7">
        <v>4</v>
      </c>
      <c r="N20" s="7">
        <v>0</v>
      </c>
      <c r="O20" s="6">
        <f t="shared" si="0"/>
        <v>17</v>
      </c>
      <c r="P20" s="7" t="s">
        <v>164</v>
      </c>
      <c r="Q20" s="7">
        <v>9</v>
      </c>
    </row>
    <row r="21" spans="1:17" x14ac:dyDescent="0.25">
      <c r="A21" s="7" t="str">
        <f>("352")</f>
        <v>352</v>
      </c>
      <c r="B21" s="7" t="str">
        <f>("198100")</f>
        <v>198100</v>
      </c>
      <c r="C21" s="1" t="s">
        <v>24</v>
      </c>
      <c r="D21" s="1" t="s">
        <v>25</v>
      </c>
      <c r="E21" s="1" t="s">
        <v>13</v>
      </c>
      <c r="F21" s="1" t="s">
        <v>13</v>
      </c>
      <c r="G21" s="7">
        <v>5</v>
      </c>
      <c r="H21" s="7">
        <v>0</v>
      </c>
      <c r="I21" s="7">
        <v>11</v>
      </c>
      <c r="J21" s="7">
        <v>0</v>
      </c>
      <c r="K21" s="7">
        <v>1</v>
      </c>
      <c r="L21" s="7">
        <v>8</v>
      </c>
      <c r="M21" s="7">
        <v>0</v>
      </c>
      <c r="N21" s="7">
        <v>0</v>
      </c>
      <c r="O21" s="6">
        <f t="shared" si="0"/>
        <v>25</v>
      </c>
      <c r="P21" s="7" t="s">
        <v>165</v>
      </c>
      <c r="Q21" s="7">
        <v>8</v>
      </c>
    </row>
    <row r="22" spans="1:17" x14ac:dyDescent="0.25">
      <c r="A22" s="7" t="str">
        <f>("82")</f>
        <v>82</v>
      </c>
      <c r="B22" s="7" t="str">
        <f>("53285")</f>
        <v>53285</v>
      </c>
      <c r="C22" s="1" t="s">
        <v>154</v>
      </c>
      <c r="D22" s="1" t="s">
        <v>28</v>
      </c>
      <c r="E22" s="1" t="s">
        <v>13</v>
      </c>
      <c r="F22" s="1" t="s">
        <v>105</v>
      </c>
      <c r="G22" s="7">
        <v>3</v>
      </c>
      <c r="H22" s="7">
        <v>0</v>
      </c>
      <c r="I22" s="7">
        <v>14</v>
      </c>
      <c r="J22" s="7">
        <v>0</v>
      </c>
      <c r="K22" s="7">
        <v>10</v>
      </c>
      <c r="L22" s="7">
        <v>6</v>
      </c>
      <c r="M22" s="7">
        <v>1</v>
      </c>
      <c r="N22" s="7">
        <v>0</v>
      </c>
      <c r="O22" s="6">
        <f t="shared" si="0"/>
        <v>34</v>
      </c>
      <c r="P22" s="7" t="s">
        <v>166</v>
      </c>
      <c r="Q22" s="7">
        <v>7</v>
      </c>
    </row>
    <row r="23" spans="1:17" x14ac:dyDescent="0.25">
      <c r="A23" s="7" t="str">
        <f>("76")</f>
        <v>76</v>
      </c>
      <c r="B23" s="7" t="str">
        <f>("18")</f>
        <v>18</v>
      </c>
      <c r="C23" s="1" t="s">
        <v>11</v>
      </c>
      <c r="D23" s="1" t="s">
        <v>12</v>
      </c>
      <c r="E23" s="1" t="s">
        <v>13</v>
      </c>
      <c r="F23" s="1" t="s">
        <v>99</v>
      </c>
      <c r="G23" s="7">
        <v>1</v>
      </c>
      <c r="H23" s="7">
        <v>5</v>
      </c>
      <c r="I23" s="7">
        <v>14</v>
      </c>
      <c r="J23" s="7">
        <v>1</v>
      </c>
      <c r="K23" s="7">
        <v>11</v>
      </c>
      <c r="L23" s="7">
        <v>2</v>
      </c>
      <c r="M23" s="7">
        <v>2</v>
      </c>
      <c r="N23" s="7">
        <v>0</v>
      </c>
      <c r="O23" s="6">
        <f t="shared" si="0"/>
        <v>36</v>
      </c>
      <c r="P23" s="7" t="s">
        <v>167</v>
      </c>
      <c r="Q23" s="7">
        <v>6</v>
      </c>
    </row>
    <row r="24" spans="1:17" x14ac:dyDescent="0.25">
      <c r="A24" s="7" t="str">
        <f>("470")</f>
        <v>470</v>
      </c>
      <c r="B24" s="7" t="str">
        <f>("209762")</f>
        <v>209762</v>
      </c>
      <c r="C24" s="1" t="s">
        <v>33</v>
      </c>
      <c r="D24" s="1" t="s">
        <v>34</v>
      </c>
      <c r="E24" s="1" t="s">
        <v>13</v>
      </c>
      <c r="F24" s="1" t="s">
        <v>102</v>
      </c>
      <c r="G24" s="7">
        <v>0</v>
      </c>
      <c r="H24" s="7">
        <v>5</v>
      </c>
      <c r="I24" s="7">
        <v>13</v>
      </c>
      <c r="J24" s="7">
        <v>0</v>
      </c>
      <c r="K24" s="7">
        <v>11</v>
      </c>
      <c r="L24" s="7">
        <v>5</v>
      </c>
      <c r="M24" s="7">
        <v>3</v>
      </c>
      <c r="N24" s="7">
        <v>0</v>
      </c>
      <c r="O24" s="6">
        <f t="shared" si="0"/>
        <v>37</v>
      </c>
      <c r="P24" s="7" t="s">
        <v>168</v>
      </c>
      <c r="Q24" s="7">
        <v>5</v>
      </c>
    </row>
    <row r="25" spans="1:17" x14ac:dyDescent="0.25">
      <c r="A25" s="7" t="str">
        <f>("810")</f>
        <v>810</v>
      </c>
      <c r="B25" s="7" t="str">
        <f>("208324")</f>
        <v>208324</v>
      </c>
      <c r="C25" s="1" t="s">
        <v>22</v>
      </c>
      <c r="D25" s="1" t="s">
        <v>23</v>
      </c>
      <c r="E25" s="1" t="s">
        <v>13</v>
      </c>
      <c r="F25" s="1" t="s">
        <v>103</v>
      </c>
      <c r="G25" s="7">
        <v>10</v>
      </c>
      <c r="H25" s="7">
        <v>6</v>
      </c>
      <c r="I25" s="7">
        <v>23</v>
      </c>
      <c r="J25" s="7">
        <v>2</v>
      </c>
      <c r="K25" s="7">
        <v>7</v>
      </c>
      <c r="L25" s="7">
        <v>9</v>
      </c>
      <c r="M25" s="7">
        <v>8</v>
      </c>
      <c r="N25" s="7">
        <v>3</v>
      </c>
      <c r="O25" s="6">
        <f t="shared" si="0"/>
        <v>68</v>
      </c>
      <c r="P25" s="7" t="s">
        <v>169</v>
      </c>
      <c r="Q25" s="7">
        <v>4</v>
      </c>
    </row>
    <row r="26" spans="1:17" x14ac:dyDescent="0.25">
      <c r="A26" s="7" t="str">
        <f>("248")</f>
        <v>248</v>
      </c>
      <c r="B26" s="7" t="str">
        <f>("164523")</f>
        <v>164523</v>
      </c>
      <c r="C26" s="1" t="s">
        <v>36</v>
      </c>
      <c r="D26" s="1" t="s">
        <v>37</v>
      </c>
      <c r="E26" s="1" t="s">
        <v>13</v>
      </c>
      <c r="F26" s="1" t="s">
        <v>108</v>
      </c>
      <c r="G26" s="7">
        <v>10</v>
      </c>
      <c r="H26" s="7">
        <v>0</v>
      </c>
      <c r="I26" s="7">
        <v>25</v>
      </c>
      <c r="J26" s="7">
        <v>1</v>
      </c>
      <c r="K26" s="7">
        <v>11</v>
      </c>
      <c r="L26" s="7">
        <v>19</v>
      </c>
      <c r="M26" s="7">
        <v>5</v>
      </c>
      <c r="N26" s="7">
        <v>0</v>
      </c>
      <c r="O26" s="6">
        <f t="shared" si="0"/>
        <v>71</v>
      </c>
      <c r="P26" s="7" t="s">
        <v>170</v>
      </c>
      <c r="Q26" s="7">
        <v>3</v>
      </c>
    </row>
    <row r="27" spans="1:17" x14ac:dyDescent="0.25">
      <c r="A27" s="7"/>
      <c r="B27" s="7"/>
      <c r="C27" s="1"/>
      <c r="D27" s="1"/>
      <c r="E27" s="1"/>
      <c r="F27" s="1"/>
      <c r="G27" s="7"/>
      <c r="H27" s="7"/>
      <c r="I27" s="7"/>
      <c r="J27" s="7"/>
      <c r="K27" s="7"/>
      <c r="L27" s="7"/>
      <c r="M27" s="7"/>
      <c r="N27" s="7"/>
      <c r="O27" s="6"/>
      <c r="P27" s="7"/>
      <c r="Q27" s="7"/>
    </row>
    <row r="28" spans="1:17" x14ac:dyDescent="0.25">
      <c r="A28" s="7" t="str">
        <f>("500")</f>
        <v>500</v>
      </c>
      <c r="B28" s="7" t="str">
        <f>("10955")</f>
        <v>10955</v>
      </c>
      <c r="C28" s="1" t="s">
        <v>41</v>
      </c>
      <c r="D28" s="1" t="s">
        <v>42</v>
      </c>
      <c r="E28" s="1" t="s">
        <v>40</v>
      </c>
      <c r="F28" s="1" t="s">
        <v>109</v>
      </c>
      <c r="G28" s="7">
        <v>0</v>
      </c>
      <c r="H28" s="7">
        <v>0</v>
      </c>
      <c r="I28" s="7">
        <v>3</v>
      </c>
      <c r="J28" s="7">
        <v>0</v>
      </c>
      <c r="K28" s="7">
        <v>0</v>
      </c>
      <c r="L28" s="7">
        <v>0</v>
      </c>
      <c r="M28" s="7">
        <v>1</v>
      </c>
      <c r="N28" s="7">
        <v>0</v>
      </c>
      <c r="O28" s="6">
        <f>SUM(G28:N28)</f>
        <v>4</v>
      </c>
      <c r="P28" s="7" t="s">
        <v>156</v>
      </c>
      <c r="Q28" s="7">
        <v>20</v>
      </c>
    </row>
    <row r="29" spans="1:17" x14ac:dyDescent="0.25">
      <c r="A29" s="7" t="str">
        <f>("24")</f>
        <v>24</v>
      </c>
      <c r="B29" s="7" t="str">
        <f>("177394")</f>
        <v>177394</v>
      </c>
      <c r="C29" s="1" t="s">
        <v>38</v>
      </c>
      <c r="D29" s="1" t="s">
        <v>39</v>
      </c>
      <c r="E29" s="1" t="s">
        <v>40</v>
      </c>
      <c r="F29" s="1" t="s">
        <v>95</v>
      </c>
      <c r="G29" s="7">
        <v>1</v>
      </c>
      <c r="H29" s="7">
        <v>0</v>
      </c>
      <c r="I29" s="7">
        <v>6</v>
      </c>
      <c r="J29" s="7">
        <v>0</v>
      </c>
      <c r="K29" s="7">
        <v>2</v>
      </c>
      <c r="L29" s="7">
        <v>1</v>
      </c>
      <c r="M29" s="7">
        <v>0</v>
      </c>
      <c r="N29" s="7">
        <v>0</v>
      </c>
      <c r="O29" s="6">
        <f>SUM(G29:N29)</f>
        <v>10</v>
      </c>
      <c r="P29" s="7" t="s">
        <v>157</v>
      </c>
      <c r="Q29" s="7">
        <v>17</v>
      </c>
    </row>
    <row r="30" spans="1:17" x14ac:dyDescent="0.25">
      <c r="A30" s="7" t="str">
        <f>("345")</f>
        <v>345</v>
      </c>
      <c r="B30" s="7" t="str">
        <f>("201725")</f>
        <v>201725</v>
      </c>
      <c r="C30" s="1" t="s">
        <v>63</v>
      </c>
      <c r="D30" s="1" t="s">
        <v>64</v>
      </c>
      <c r="E30" s="1" t="s">
        <v>59</v>
      </c>
      <c r="F30" s="1" t="s">
        <v>120</v>
      </c>
      <c r="G30" s="7">
        <v>0</v>
      </c>
      <c r="H30" s="7">
        <v>0</v>
      </c>
      <c r="I30" s="7">
        <v>12</v>
      </c>
      <c r="J30" s="7">
        <v>0</v>
      </c>
      <c r="K30" s="7">
        <v>5</v>
      </c>
      <c r="L30" s="7">
        <v>0</v>
      </c>
      <c r="M30" s="7">
        <v>0</v>
      </c>
      <c r="N30" s="7">
        <v>0</v>
      </c>
      <c r="O30" s="6">
        <f>SUM(G30:N30)</f>
        <v>17</v>
      </c>
      <c r="P30" s="7" t="s">
        <v>158</v>
      </c>
      <c r="Q30" s="7">
        <v>15</v>
      </c>
    </row>
    <row r="31" spans="1:17" x14ac:dyDescent="0.25">
      <c r="A31" s="7"/>
      <c r="B31" s="7"/>
      <c r="C31" s="1"/>
      <c r="D31" s="1"/>
      <c r="E31" s="1"/>
      <c r="F31" s="1"/>
      <c r="G31" s="7"/>
      <c r="H31" s="7"/>
      <c r="I31" s="7"/>
      <c r="J31" s="7"/>
      <c r="K31" s="7"/>
      <c r="L31" s="7"/>
      <c r="M31" s="7"/>
      <c r="N31" s="7"/>
      <c r="O31" s="6"/>
      <c r="P31" s="7"/>
      <c r="Q31" s="7"/>
    </row>
    <row r="32" spans="1:17" x14ac:dyDescent="0.25">
      <c r="A32" s="7">
        <v>45</v>
      </c>
      <c r="B32" s="7">
        <v>12434</v>
      </c>
      <c r="C32" s="1" t="s">
        <v>33</v>
      </c>
      <c r="D32" s="1" t="s">
        <v>46</v>
      </c>
      <c r="E32" s="1" t="s">
        <v>45</v>
      </c>
      <c r="F32" s="1" t="s">
        <v>111</v>
      </c>
      <c r="G32" s="7">
        <v>0</v>
      </c>
      <c r="H32" s="7">
        <v>0</v>
      </c>
      <c r="I32" s="7">
        <v>1</v>
      </c>
      <c r="J32" s="7">
        <v>0</v>
      </c>
      <c r="K32" s="7">
        <v>0</v>
      </c>
      <c r="L32" s="7">
        <v>5</v>
      </c>
      <c r="M32" s="7">
        <v>0</v>
      </c>
      <c r="N32" s="7">
        <v>0</v>
      </c>
      <c r="O32" s="6">
        <v>6</v>
      </c>
      <c r="P32" s="7" t="s">
        <v>156</v>
      </c>
      <c r="Q32" s="7">
        <v>20</v>
      </c>
    </row>
    <row r="33" spans="1:17" x14ac:dyDescent="0.25">
      <c r="A33" s="7" t="str">
        <f>("213")</f>
        <v>213</v>
      </c>
      <c r="B33" s="7" t="str">
        <f>("199918")</f>
        <v>199918</v>
      </c>
      <c r="C33" s="1" t="s">
        <v>48</v>
      </c>
      <c r="D33" s="1" t="s">
        <v>49</v>
      </c>
      <c r="E33" s="1" t="s">
        <v>45</v>
      </c>
      <c r="F33" s="1" t="s">
        <v>112</v>
      </c>
      <c r="G33" s="7">
        <v>0</v>
      </c>
      <c r="H33" s="7">
        <v>1</v>
      </c>
      <c r="I33" s="7">
        <v>8</v>
      </c>
      <c r="J33" s="7">
        <v>1</v>
      </c>
      <c r="K33" s="7">
        <v>7</v>
      </c>
      <c r="L33" s="7">
        <v>0</v>
      </c>
      <c r="M33" s="7">
        <v>0</v>
      </c>
      <c r="N33" s="7">
        <v>0</v>
      </c>
      <c r="O33" s="6">
        <f t="shared" ref="O33:O38" si="1">SUM(G33:N33)</f>
        <v>17</v>
      </c>
      <c r="P33" s="7" t="s">
        <v>157</v>
      </c>
      <c r="Q33" s="7">
        <v>17</v>
      </c>
    </row>
    <row r="34" spans="1:17" x14ac:dyDescent="0.25">
      <c r="A34" s="7" t="str">
        <f>("395")</f>
        <v>395</v>
      </c>
      <c r="B34" s="7" t="str">
        <f>("204244")</f>
        <v>204244</v>
      </c>
      <c r="C34" s="1" t="s">
        <v>54</v>
      </c>
      <c r="D34" s="1" t="s">
        <v>55</v>
      </c>
      <c r="E34" s="1" t="s">
        <v>45</v>
      </c>
      <c r="F34" s="1" t="s">
        <v>115</v>
      </c>
      <c r="G34" s="7">
        <v>2</v>
      </c>
      <c r="H34" s="7">
        <v>0</v>
      </c>
      <c r="I34" s="7">
        <v>12</v>
      </c>
      <c r="J34" s="7">
        <v>3</v>
      </c>
      <c r="K34" s="7">
        <v>4</v>
      </c>
      <c r="L34" s="7">
        <v>0</v>
      </c>
      <c r="M34" s="7">
        <v>1</v>
      </c>
      <c r="N34" s="7">
        <v>1</v>
      </c>
      <c r="O34" s="6">
        <f t="shared" si="1"/>
        <v>23</v>
      </c>
      <c r="P34" s="7" t="s">
        <v>158</v>
      </c>
      <c r="Q34" s="7">
        <v>15</v>
      </c>
    </row>
    <row r="35" spans="1:17" x14ac:dyDescent="0.25">
      <c r="A35" s="7" t="str">
        <f>("138")</f>
        <v>138</v>
      </c>
      <c r="B35" s="7" t="str">
        <f>("181014")</f>
        <v>181014</v>
      </c>
      <c r="C35" s="1" t="s">
        <v>50</v>
      </c>
      <c r="D35" s="1" t="s">
        <v>51</v>
      </c>
      <c r="E35" s="1" t="s">
        <v>45</v>
      </c>
      <c r="F35" s="1" t="s">
        <v>113</v>
      </c>
      <c r="G35" s="7">
        <v>4</v>
      </c>
      <c r="H35" s="7">
        <v>3</v>
      </c>
      <c r="I35" s="7">
        <v>13</v>
      </c>
      <c r="J35" s="7">
        <v>2</v>
      </c>
      <c r="K35" s="7">
        <v>7</v>
      </c>
      <c r="L35" s="7">
        <v>0</v>
      </c>
      <c r="M35" s="7">
        <v>0</v>
      </c>
      <c r="N35" s="7">
        <v>0</v>
      </c>
      <c r="O35" s="6">
        <f t="shared" si="1"/>
        <v>29</v>
      </c>
      <c r="P35" s="7" t="s">
        <v>160</v>
      </c>
      <c r="Q35" s="7">
        <v>13</v>
      </c>
    </row>
    <row r="36" spans="1:17" x14ac:dyDescent="0.25">
      <c r="A36" s="7" t="str">
        <f>("247")</f>
        <v>247</v>
      </c>
      <c r="B36" s="7" t="str">
        <f>("161703")</f>
        <v>161703</v>
      </c>
      <c r="C36" s="1" t="s">
        <v>47</v>
      </c>
      <c r="D36" s="1" t="s">
        <v>37</v>
      </c>
      <c r="E36" s="1" t="s">
        <v>45</v>
      </c>
      <c r="F36" s="1" t="s">
        <v>108</v>
      </c>
      <c r="G36" s="7">
        <v>3</v>
      </c>
      <c r="H36" s="7">
        <v>6</v>
      </c>
      <c r="I36" s="7">
        <v>19</v>
      </c>
      <c r="J36" s="7">
        <v>1</v>
      </c>
      <c r="K36" s="7">
        <v>10</v>
      </c>
      <c r="L36" s="7">
        <v>0</v>
      </c>
      <c r="M36" s="7">
        <v>2</v>
      </c>
      <c r="N36" s="7">
        <v>1</v>
      </c>
      <c r="O36" s="6">
        <f t="shared" si="1"/>
        <v>42</v>
      </c>
      <c r="P36" s="7" t="s">
        <v>161</v>
      </c>
      <c r="Q36" s="7">
        <v>11</v>
      </c>
    </row>
    <row r="37" spans="1:17" x14ac:dyDescent="0.25">
      <c r="A37" s="7" t="str">
        <f>("428")</f>
        <v>428</v>
      </c>
      <c r="B37" s="7" t="str">
        <f>("204715")</f>
        <v>204715</v>
      </c>
      <c r="C37" s="1" t="s">
        <v>52</v>
      </c>
      <c r="D37" s="1" t="s">
        <v>53</v>
      </c>
      <c r="E37" s="1" t="s">
        <v>45</v>
      </c>
      <c r="F37" s="1" t="s">
        <v>114</v>
      </c>
      <c r="G37" s="7">
        <v>13</v>
      </c>
      <c r="H37" s="7">
        <v>6</v>
      </c>
      <c r="I37" s="7">
        <v>16</v>
      </c>
      <c r="J37" s="7">
        <v>6</v>
      </c>
      <c r="K37" s="7">
        <v>12</v>
      </c>
      <c r="L37" s="7">
        <v>5</v>
      </c>
      <c r="M37" s="7">
        <v>1</v>
      </c>
      <c r="N37" s="7">
        <v>6</v>
      </c>
      <c r="O37" s="6">
        <f t="shared" si="1"/>
        <v>65</v>
      </c>
      <c r="P37" s="7" t="s">
        <v>162</v>
      </c>
      <c r="Q37" s="7">
        <v>10</v>
      </c>
    </row>
    <row r="38" spans="1:17" x14ac:dyDescent="0.25">
      <c r="A38" s="7">
        <v>804</v>
      </c>
      <c r="B38" s="7" t="str">
        <f>("187793")</f>
        <v>187793</v>
      </c>
      <c r="C38" s="1" t="s">
        <v>43</v>
      </c>
      <c r="D38" s="1" t="s">
        <v>44</v>
      </c>
      <c r="E38" s="1" t="s">
        <v>45</v>
      </c>
      <c r="F38" s="1" t="s">
        <v>110</v>
      </c>
      <c r="G38" s="7">
        <v>11</v>
      </c>
      <c r="H38" s="7">
        <v>9</v>
      </c>
      <c r="I38" s="7">
        <v>20</v>
      </c>
      <c r="J38" s="7">
        <v>6</v>
      </c>
      <c r="K38" s="7">
        <v>17</v>
      </c>
      <c r="L38" s="7">
        <v>0</v>
      </c>
      <c r="M38" s="7">
        <v>11</v>
      </c>
      <c r="N38" s="7">
        <v>4</v>
      </c>
      <c r="O38" s="6">
        <f t="shared" si="1"/>
        <v>78</v>
      </c>
      <c r="P38" s="7" t="s">
        <v>163</v>
      </c>
      <c r="Q38" s="7">
        <v>9</v>
      </c>
    </row>
    <row r="39" spans="1:17" x14ac:dyDescent="0.25">
      <c r="A39" s="7"/>
      <c r="B39" s="7"/>
      <c r="C39" s="1"/>
      <c r="D39" s="1"/>
      <c r="E39" s="1"/>
      <c r="F39" s="1"/>
      <c r="G39" s="7"/>
      <c r="H39" s="7"/>
      <c r="I39" s="7"/>
      <c r="J39" s="7"/>
      <c r="K39" s="7"/>
      <c r="L39" s="7"/>
      <c r="M39" s="7"/>
      <c r="N39" s="7"/>
      <c r="O39" s="6"/>
      <c r="P39" s="7"/>
      <c r="Q39" s="7"/>
    </row>
    <row r="40" spans="1:17" x14ac:dyDescent="0.25">
      <c r="A40" s="7" t="str">
        <f>("37")</f>
        <v>37</v>
      </c>
      <c r="B40" s="7" t="str">
        <f>("116173")</f>
        <v>116173</v>
      </c>
      <c r="C40" s="1" t="s">
        <v>147</v>
      </c>
      <c r="D40" s="1" t="s">
        <v>56</v>
      </c>
      <c r="E40" s="1" t="s">
        <v>57</v>
      </c>
      <c r="F40" s="1" t="s">
        <v>116</v>
      </c>
      <c r="G40" s="7">
        <v>1</v>
      </c>
      <c r="H40" s="7">
        <v>0</v>
      </c>
      <c r="I40" s="7">
        <v>16</v>
      </c>
      <c r="J40" s="7">
        <v>0</v>
      </c>
      <c r="K40" s="7">
        <v>3</v>
      </c>
      <c r="L40" s="7">
        <v>0</v>
      </c>
      <c r="M40" s="7">
        <v>0</v>
      </c>
      <c r="N40" s="7">
        <v>15</v>
      </c>
      <c r="O40" s="6">
        <f>SUM(G40:N40)</f>
        <v>35</v>
      </c>
      <c r="P40" s="7" t="s">
        <v>156</v>
      </c>
      <c r="Q40" s="7">
        <v>20</v>
      </c>
    </row>
    <row r="41" spans="1:17" x14ac:dyDescent="0.25">
      <c r="A41" s="7"/>
      <c r="B41" s="7"/>
      <c r="C41" s="1"/>
      <c r="D41" s="1"/>
      <c r="E41" s="1"/>
      <c r="F41" s="1"/>
      <c r="G41" s="7"/>
      <c r="H41" s="7"/>
      <c r="I41" s="7"/>
      <c r="J41" s="7"/>
      <c r="K41" s="7"/>
      <c r="L41" s="7"/>
      <c r="M41" s="7"/>
      <c r="N41" s="7"/>
      <c r="O41" s="6"/>
      <c r="P41" s="7"/>
      <c r="Q41" s="7"/>
    </row>
    <row r="42" spans="1:17" x14ac:dyDescent="0.25">
      <c r="A42" s="7" t="str">
        <f>("157")</f>
        <v>157</v>
      </c>
      <c r="B42" s="7" t="str">
        <f>("89636")</f>
        <v>89636</v>
      </c>
      <c r="C42" s="1" t="s">
        <v>24</v>
      </c>
      <c r="D42" s="1" t="s">
        <v>58</v>
      </c>
      <c r="E42" s="1" t="s">
        <v>59</v>
      </c>
      <c r="F42" s="1" t="s">
        <v>117</v>
      </c>
      <c r="G42" s="7">
        <v>0</v>
      </c>
      <c r="H42" s="7">
        <v>0</v>
      </c>
      <c r="I42" s="7">
        <v>5</v>
      </c>
      <c r="J42" s="7">
        <v>0</v>
      </c>
      <c r="K42" s="7">
        <v>5</v>
      </c>
      <c r="L42" s="7">
        <v>0</v>
      </c>
      <c r="M42" s="7">
        <v>0</v>
      </c>
      <c r="N42" s="7">
        <v>0</v>
      </c>
      <c r="O42" s="6">
        <f>SUM(G42:N42)</f>
        <v>10</v>
      </c>
      <c r="P42" s="7" t="s">
        <v>156</v>
      </c>
      <c r="Q42" s="7">
        <v>20</v>
      </c>
    </row>
    <row r="43" spans="1:17" x14ac:dyDescent="0.25">
      <c r="A43" s="7" t="str">
        <f>("441")</f>
        <v>441</v>
      </c>
      <c r="B43" s="7" t="str">
        <f>("124853")</f>
        <v>124853</v>
      </c>
      <c r="C43" s="1" t="s">
        <v>16</v>
      </c>
      <c r="D43" s="1" t="s">
        <v>65</v>
      </c>
      <c r="E43" s="1" t="s">
        <v>59</v>
      </c>
      <c r="F43" s="1" t="s">
        <v>121</v>
      </c>
      <c r="G43" s="7">
        <v>0</v>
      </c>
      <c r="H43" s="7">
        <v>0</v>
      </c>
      <c r="I43" s="7">
        <v>7</v>
      </c>
      <c r="J43" s="7">
        <v>0</v>
      </c>
      <c r="K43" s="7">
        <v>2</v>
      </c>
      <c r="L43" s="7">
        <v>2</v>
      </c>
      <c r="M43" s="7">
        <v>0</v>
      </c>
      <c r="N43" s="7">
        <v>0</v>
      </c>
      <c r="O43" s="6">
        <f>SUM(G43:N43)</f>
        <v>11</v>
      </c>
      <c r="P43" s="7" t="s">
        <v>157</v>
      </c>
      <c r="Q43" s="7">
        <v>17</v>
      </c>
    </row>
    <row r="44" spans="1:17" x14ac:dyDescent="0.25">
      <c r="A44" s="7" t="str">
        <f>("28")</f>
        <v>28</v>
      </c>
      <c r="B44" s="7" t="str">
        <f>("96827")</f>
        <v>96827</v>
      </c>
      <c r="C44" s="1" t="s">
        <v>153</v>
      </c>
      <c r="D44" s="1" t="s">
        <v>60</v>
      </c>
      <c r="E44" s="1" t="s">
        <v>59</v>
      </c>
      <c r="F44" s="1" t="s">
        <v>118</v>
      </c>
      <c r="G44" s="7">
        <v>3</v>
      </c>
      <c r="H44" s="7">
        <v>0</v>
      </c>
      <c r="I44" s="7">
        <v>19</v>
      </c>
      <c r="J44" s="7">
        <v>0</v>
      </c>
      <c r="K44" s="7">
        <v>15</v>
      </c>
      <c r="L44" s="7">
        <v>12</v>
      </c>
      <c r="M44" s="7">
        <v>2</v>
      </c>
      <c r="N44" s="7">
        <v>0</v>
      </c>
      <c r="O44" s="6">
        <f>SUM(G44:N44)</f>
        <v>51</v>
      </c>
      <c r="P44" s="7" t="s">
        <v>158</v>
      </c>
      <c r="Q44" s="7">
        <v>15</v>
      </c>
    </row>
    <row r="45" spans="1:17" x14ac:dyDescent="0.25">
      <c r="A45" s="7" t="str">
        <f>("474")</f>
        <v>474</v>
      </c>
      <c r="B45" s="7" t="str">
        <f>("166764")</f>
        <v>166764</v>
      </c>
      <c r="C45" s="1" t="s">
        <v>61</v>
      </c>
      <c r="D45" s="1" t="s">
        <v>62</v>
      </c>
      <c r="E45" s="1" t="s">
        <v>59</v>
      </c>
      <c r="F45" s="1" t="s">
        <v>119</v>
      </c>
      <c r="G45" s="7">
        <v>3</v>
      </c>
      <c r="H45" s="7">
        <v>6</v>
      </c>
      <c r="I45" s="7">
        <v>13</v>
      </c>
      <c r="J45" s="7">
        <v>7</v>
      </c>
      <c r="K45" s="7">
        <v>14</v>
      </c>
      <c r="L45" s="7">
        <v>7</v>
      </c>
      <c r="M45" s="7">
        <v>13</v>
      </c>
      <c r="N45" s="7">
        <v>1</v>
      </c>
      <c r="O45" s="6">
        <f>SUM(G45:N45)</f>
        <v>64</v>
      </c>
      <c r="P45" s="7" t="s">
        <v>160</v>
      </c>
      <c r="Q45" s="7">
        <v>13</v>
      </c>
    </row>
    <row r="46" spans="1:17" x14ac:dyDescent="0.25">
      <c r="A46" s="7"/>
      <c r="B46" s="7"/>
      <c r="C46" s="1"/>
      <c r="D46" s="1"/>
      <c r="E46" s="1"/>
      <c r="F46" s="1"/>
      <c r="G46" s="7"/>
      <c r="H46" s="7"/>
      <c r="I46" s="7"/>
      <c r="J46" s="7"/>
      <c r="K46" s="7"/>
      <c r="L46" s="7"/>
      <c r="M46" s="7"/>
      <c r="N46" s="7"/>
      <c r="O46" s="6"/>
      <c r="P46" s="7"/>
      <c r="Q46" s="7"/>
    </row>
    <row r="47" spans="1:17" x14ac:dyDescent="0.25">
      <c r="A47" s="7" t="str">
        <f>("801")</f>
        <v>801</v>
      </c>
      <c r="B47" s="7" t="str">
        <f>("108648")</f>
        <v>108648</v>
      </c>
      <c r="C47" s="1" t="s">
        <v>1</v>
      </c>
      <c r="D47" s="1" t="s">
        <v>2</v>
      </c>
      <c r="E47" s="1" t="s">
        <v>146</v>
      </c>
      <c r="F47" s="1" t="s">
        <v>95</v>
      </c>
      <c r="G47" s="7">
        <v>2</v>
      </c>
      <c r="H47" s="7">
        <v>0</v>
      </c>
      <c r="I47" s="7">
        <v>17</v>
      </c>
      <c r="J47" s="7">
        <v>5</v>
      </c>
      <c r="K47" s="7">
        <v>10</v>
      </c>
      <c r="L47" s="7">
        <v>17</v>
      </c>
      <c r="M47" s="7">
        <v>11</v>
      </c>
      <c r="N47" s="7">
        <v>1</v>
      </c>
      <c r="O47" s="6">
        <f>SUM(G47:N47)</f>
        <v>63</v>
      </c>
      <c r="P47" s="7" t="s">
        <v>172</v>
      </c>
      <c r="Q47" s="7" t="s">
        <v>172</v>
      </c>
    </row>
    <row r="48" spans="1:17" x14ac:dyDescent="0.25">
      <c r="A48" s="7" t="str">
        <f>("802")</f>
        <v>802</v>
      </c>
      <c r="B48" s="7" t="str">
        <f>("142356")</f>
        <v>142356</v>
      </c>
      <c r="C48" s="1" t="s">
        <v>33</v>
      </c>
      <c r="D48" s="1" t="s">
        <v>0</v>
      </c>
      <c r="E48" s="1" t="s">
        <v>146</v>
      </c>
      <c r="F48" s="1" t="s">
        <v>94</v>
      </c>
      <c r="G48" s="7" t="s">
        <v>159</v>
      </c>
      <c r="H48" s="7" t="s">
        <v>159</v>
      </c>
      <c r="I48" s="7" t="s">
        <v>159</v>
      </c>
      <c r="J48" s="7" t="s">
        <v>159</v>
      </c>
      <c r="K48" s="7" t="s">
        <v>159</v>
      </c>
      <c r="L48" s="7" t="s">
        <v>159</v>
      </c>
      <c r="M48" s="7" t="s">
        <v>159</v>
      </c>
      <c r="N48" s="7" t="s">
        <v>159</v>
      </c>
      <c r="O48" s="7" t="s">
        <v>159</v>
      </c>
      <c r="P48" s="7" t="s">
        <v>159</v>
      </c>
      <c r="Q48" s="7" t="s">
        <v>159</v>
      </c>
    </row>
    <row r="49" spans="1:17" x14ac:dyDescent="0.25">
      <c r="A49" s="7"/>
      <c r="B49" s="7"/>
      <c r="C49" s="1"/>
      <c r="D49" s="1"/>
      <c r="E49" s="1"/>
      <c r="F49" s="1"/>
      <c r="G49" s="7"/>
      <c r="H49" s="7"/>
      <c r="I49" s="7"/>
      <c r="J49" s="7"/>
      <c r="K49" s="7"/>
      <c r="L49" s="7"/>
      <c r="M49" s="7"/>
      <c r="N49" s="7"/>
      <c r="O49" s="6"/>
      <c r="P49" s="7"/>
      <c r="Q49" s="7"/>
    </row>
    <row r="50" spans="1:17" x14ac:dyDescent="0.25">
      <c r="A50" s="7" t="str">
        <f>("83")</f>
        <v>83</v>
      </c>
      <c r="B50" s="7" t="str">
        <f>("166177")</f>
        <v>166177</v>
      </c>
      <c r="C50" s="1" t="s">
        <v>70</v>
      </c>
      <c r="D50" s="1" t="s">
        <v>71</v>
      </c>
      <c r="E50" s="1" t="s">
        <v>67</v>
      </c>
      <c r="F50" s="1" t="s">
        <v>124</v>
      </c>
      <c r="G50" s="7">
        <v>0</v>
      </c>
      <c r="H50" s="7">
        <v>0</v>
      </c>
      <c r="I50" s="7">
        <v>5</v>
      </c>
      <c r="J50" s="7">
        <v>0</v>
      </c>
      <c r="K50" s="7">
        <v>3</v>
      </c>
      <c r="L50" s="7">
        <v>0</v>
      </c>
      <c r="M50" s="7">
        <v>0</v>
      </c>
      <c r="N50" s="7">
        <v>0</v>
      </c>
      <c r="O50" s="6">
        <f t="shared" ref="O50:O58" si="2">SUM(G50:N50)</f>
        <v>8</v>
      </c>
      <c r="P50" s="7" t="s">
        <v>156</v>
      </c>
      <c r="Q50" s="7">
        <v>20</v>
      </c>
    </row>
    <row r="51" spans="1:17" x14ac:dyDescent="0.25">
      <c r="A51" s="7" t="str">
        <f>("210")</f>
        <v>210</v>
      </c>
      <c r="B51" s="7" t="str">
        <f>("47137")</f>
        <v>47137</v>
      </c>
      <c r="C51" s="1" t="s">
        <v>78</v>
      </c>
      <c r="D51" s="1" t="s">
        <v>79</v>
      </c>
      <c r="E51" s="1" t="s">
        <v>67</v>
      </c>
      <c r="F51" s="1" t="s">
        <v>126</v>
      </c>
      <c r="G51" s="7">
        <v>3</v>
      </c>
      <c r="H51" s="7">
        <v>3</v>
      </c>
      <c r="I51" s="7">
        <v>7</v>
      </c>
      <c r="J51" s="7">
        <v>0</v>
      </c>
      <c r="K51" s="7">
        <v>4</v>
      </c>
      <c r="L51" s="7">
        <v>0</v>
      </c>
      <c r="M51" s="7">
        <v>0</v>
      </c>
      <c r="N51" s="7">
        <v>0</v>
      </c>
      <c r="O51" s="6">
        <f t="shared" si="2"/>
        <v>17</v>
      </c>
      <c r="P51" s="7" t="s">
        <v>157</v>
      </c>
      <c r="Q51" s="7">
        <v>17</v>
      </c>
    </row>
    <row r="52" spans="1:17" x14ac:dyDescent="0.25">
      <c r="A52" s="7" t="str">
        <f>("63")</f>
        <v>63</v>
      </c>
      <c r="B52" s="7" t="str">
        <f>("185750")</f>
        <v>185750</v>
      </c>
      <c r="C52" s="1" t="s">
        <v>63</v>
      </c>
      <c r="D52" s="1" t="s">
        <v>80</v>
      </c>
      <c r="E52" s="1" t="s">
        <v>67</v>
      </c>
      <c r="F52" s="1" t="s">
        <v>127</v>
      </c>
      <c r="G52" s="7">
        <v>2</v>
      </c>
      <c r="H52" s="7">
        <v>0</v>
      </c>
      <c r="I52" s="7">
        <v>9</v>
      </c>
      <c r="J52" s="7">
        <v>0</v>
      </c>
      <c r="K52" s="7">
        <v>8</v>
      </c>
      <c r="L52" s="7">
        <v>0</v>
      </c>
      <c r="M52" s="7">
        <v>0</v>
      </c>
      <c r="N52" s="7">
        <v>0</v>
      </c>
      <c r="O52" s="6">
        <f t="shared" si="2"/>
        <v>19</v>
      </c>
      <c r="P52" s="7" t="s">
        <v>158</v>
      </c>
      <c r="Q52" s="7">
        <v>15</v>
      </c>
    </row>
    <row r="53" spans="1:17" x14ac:dyDescent="0.25">
      <c r="A53" s="7" t="str">
        <f>("42")</f>
        <v>42</v>
      </c>
      <c r="B53" s="7" t="str">
        <f>("14046")</f>
        <v>14046</v>
      </c>
      <c r="C53" s="1" t="s">
        <v>11</v>
      </c>
      <c r="D53" s="1" t="s">
        <v>66</v>
      </c>
      <c r="E53" s="1" t="s">
        <v>67</v>
      </c>
      <c r="F53" s="1" t="s">
        <v>122</v>
      </c>
      <c r="G53" s="7">
        <v>1</v>
      </c>
      <c r="H53" s="7">
        <v>0</v>
      </c>
      <c r="I53" s="7">
        <v>17</v>
      </c>
      <c r="J53" s="7">
        <v>0</v>
      </c>
      <c r="K53" s="7">
        <v>5</v>
      </c>
      <c r="L53" s="7">
        <v>0</v>
      </c>
      <c r="M53" s="7">
        <v>2</v>
      </c>
      <c r="N53" s="7">
        <v>1</v>
      </c>
      <c r="O53" s="6">
        <f t="shared" si="2"/>
        <v>26</v>
      </c>
      <c r="P53" s="7" t="s">
        <v>160</v>
      </c>
      <c r="Q53" s="7">
        <v>13</v>
      </c>
    </row>
    <row r="54" spans="1:17" x14ac:dyDescent="0.25">
      <c r="A54" s="7" t="str">
        <f>("35")</f>
        <v>35</v>
      </c>
      <c r="B54" s="7" t="str">
        <f>("148401")</f>
        <v>148401</v>
      </c>
      <c r="C54" s="1" t="s">
        <v>81</v>
      </c>
      <c r="D54" s="1" t="s">
        <v>82</v>
      </c>
      <c r="E54" s="1" t="s">
        <v>67</v>
      </c>
      <c r="F54" s="1" t="s">
        <v>102</v>
      </c>
      <c r="G54" s="7">
        <v>2</v>
      </c>
      <c r="H54" s="7">
        <v>1</v>
      </c>
      <c r="I54" s="7">
        <v>17</v>
      </c>
      <c r="J54" s="7">
        <v>1</v>
      </c>
      <c r="K54" s="7">
        <v>10</v>
      </c>
      <c r="L54" s="7">
        <v>0</v>
      </c>
      <c r="M54" s="7">
        <v>2</v>
      </c>
      <c r="N54" s="7">
        <v>0</v>
      </c>
      <c r="O54" s="6">
        <f t="shared" si="2"/>
        <v>33</v>
      </c>
      <c r="P54" s="7" t="s">
        <v>161</v>
      </c>
      <c r="Q54" s="7">
        <v>11</v>
      </c>
    </row>
    <row r="55" spans="1:17" x14ac:dyDescent="0.25">
      <c r="A55" s="7" t="str">
        <f>("173")</f>
        <v>173</v>
      </c>
      <c r="B55" s="7" t="str">
        <f>("12377")</f>
        <v>12377</v>
      </c>
      <c r="C55" s="1" t="s">
        <v>72</v>
      </c>
      <c r="D55" s="1" t="s">
        <v>73</v>
      </c>
      <c r="E55" s="1" t="s">
        <v>67</v>
      </c>
      <c r="F55" s="1" t="s">
        <v>103</v>
      </c>
      <c r="G55" s="7">
        <v>5</v>
      </c>
      <c r="H55" s="7">
        <v>4</v>
      </c>
      <c r="I55" s="7">
        <v>15</v>
      </c>
      <c r="J55" s="7">
        <v>0</v>
      </c>
      <c r="K55" s="7">
        <v>13</v>
      </c>
      <c r="L55" s="7">
        <v>0</v>
      </c>
      <c r="M55" s="7">
        <v>9</v>
      </c>
      <c r="N55" s="7">
        <v>0</v>
      </c>
      <c r="O55" s="6">
        <f t="shared" si="2"/>
        <v>46</v>
      </c>
      <c r="P55" s="7" t="s">
        <v>162</v>
      </c>
      <c r="Q55" s="7">
        <v>10</v>
      </c>
    </row>
    <row r="56" spans="1:17" x14ac:dyDescent="0.25">
      <c r="A56" s="7" t="str">
        <f>("126")</f>
        <v>126</v>
      </c>
      <c r="B56" s="7" t="str">
        <f>("85124")</f>
        <v>85124</v>
      </c>
      <c r="C56" s="1" t="s">
        <v>74</v>
      </c>
      <c r="D56" s="1" t="s">
        <v>75</v>
      </c>
      <c r="E56" s="1" t="s">
        <v>67</v>
      </c>
      <c r="F56" s="1" t="s">
        <v>110</v>
      </c>
      <c r="G56" s="7">
        <v>4</v>
      </c>
      <c r="H56" s="7">
        <v>6</v>
      </c>
      <c r="I56" s="7">
        <v>18</v>
      </c>
      <c r="J56" s="7">
        <v>2</v>
      </c>
      <c r="K56" s="7">
        <v>10</v>
      </c>
      <c r="L56" s="7">
        <v>6</v>
      </c>
      <c r="M56" s="7">
        <v>2</v>
      </c>
      <c r="N56" s="7">
        <v>1</v>
      </c>
      <c r="O56" s="6">
        <f t="shared" si="2"/>
        <v>49</v>
      </c>
      <c r="P56" s="7" t="s">
        <v>163</v>
      </c>
      <c r="Q56" s="7">
        <v>9</v>
      </c>
    </row>
    <row r="57" spans="1:17" x14ac:dyDescent="0.25">
      <c r="A57" s="7" t="str">
        <f>("54")</f>
        <v>54</v>
      </c>
      <c r="B57" s="7" t="str">
        <f>("181641")</f>
        <v>181641</v>
      </c>
      <c r="C57" s="1" t="s">
        <v>68</v>
      </c>
      <c r="D57" s="1" t="s">
        <v>69</v>
      </c>
      <c r="E57" s="1" t="s">
        <v>67</v>
      </c>
      <c r="F57" s="1" t="s">
        <v>123</v>
      </c>
      <c r="G57" s="7">
        <v>5</v>
      </c>
      <c r="H57" s="7">
        <v>5</v>
      </c>
      <c r="I57" s="7">
        <v>14</v>
      </c>
      <c r="J57" s="7">
        <v>9</v>
      </c>
      <c r="K57" s="7">
        <v>12</v>
      </c>
      <c r="L57" s="7">
        <v>1</v>
      </c>
      <c r="M57" s="7">
        <v>4</v>
      </c>
      <c r="N57" s="7">
        <v>1</v>
      </c>
      <c r="O57" s="6">
        <f t="shared" si="2"/>
        <v>51</v>
      </c>
      <c r="P57" s="7" t="s">
        <v>164</v>
      </c>
      <c r="Q57" s="7">
        <v>8</v>
      </c>
    </row>
    <row r="58" spans="1:17" x14ac:dyDescent="0.25">
      <c r="A58" s="7" t="str">
        <f>("17")</f>
        <v>17</v>
      </c>
      <c r="B58" s="7" t="str">
        <f>("10478")</f>
        <v>10478</v>
      </c>
      <c r="C58" s="1" t="s">
        <v>76</v>
      </c>
      <c r="D58" s="1" t="s">
        <v>77</v>
      </c>
      <c r="E58" s="1" t="s">
        <v>67</v>
      </c>
      <c r="F58" s="1" t="s">
        <v>125</v>
      </c>
      <c r="G58" s="7">
        <v>9</v>
      </c>
      <c r="H58" s="7">
        <v>13</v>
      </c>
      <c r="I58" s="7">
        <v>21</v>
      </c>
      <c r="J58" s="7">
        <v>9</v>
      </c>
      <c r="K58" s="7">
        <v>15</v>
      </c>
      <c r="L58" s="7">
        <v>5</v>
      </c>
      <c r="M58" s="7">
        <v>10</v>
      </c>
      <c r="N58" s="7">
        <v>6</v>
      </c>
      <c r="O58" s="6">
        <f t="shared" si="2"/>
        <v>88</v>
      </c>
      <c r="P58" s="7" t="s">
        <v>165</v>
      </c>
      <c r="Q58" s="7">
        <v>7</v>
      </c>
    </row>
    <row r="59" spans="1:17" x14ac:dyDescent="0.25">
      <c r="A59" s="7"/>
      <c r="B59" s="7"/>
      <c r="C59" s="1"/>
      <c r="D59" s="1"/>
      <c r="E59" s="1"/>
      <c r="F59" s="1"/>
      <c r="G59" s="7"/>
      <c r="H59" s="7"/>
      <c r="I59" s="7"/>
      <c r="J59" s="7"/>
      <c r="K59" s="7"/>
      <c r="L59" s="7"/>
      <c r="M59" s="7"/>
      <c r="N59" s="7"/>
      <c r="O59" s="6"/>
      <c r="P59" s="7"/>
      <c r="Q59" s="7"/>
    </row>
    <row r="60" spans="1:17" x14ac:dyDescent="0.25">
      <c r="A60" s="7" t="str">
        <f>("41")</f>
        <v>41</v>
      </c>
      <c r="B60" s="7" t="str">
        <f>("208372")</f>
        <v>208372</v>
      </c>
      <c r="C60" s="1" t="s">
        <v>83</v>
      </c>
      <c r="D60" s="1" t="s">
        <v>84</v>
      </c>
      <c r="E60" s="1" t="s">
        <v>155</v>
      </c>
      <c r="F60" s="1" t="s">
        <v>128</v>
      </c>
      <c r="G60" s="7">
        <v>1</v>
      </c>
      <c r="H60" s="7">
        <v>7</v>
      </c>
      <c r="I60" s="7">
        <v>11</v>
      </c>
      <c r="J60" s="7">
        <v>3</v>
      </c>
      <c r="K60" s="7">
        <v>6</v>
      </c>
      <c r="L60" s="7">
        <v>1</v>
      </c>
      <c r="M60" s="7">
        <v>1</v>
      </c>
      <c r="N60" s="7">
        <v>2</v>
      </c>
      <c r="O60" s="6">
        <f>SUM(G60:N60)</f>
        <v>32</v>
      </c>
      <c r="P60" s="7" t="s">
        <v>156</v>
      </c>
      <c r="Q60" s="7">
        <v>20</v>
      </c>
    </row>
    <row r="61" spans="1:17" x14ac:dyDescent="0.25">
      <c r="A61" s="7"/>
      <c r="B61" s="7"/>
      <c r="C61" s="1"/>
      <c r="D61" s="1"/>
      <c r="E61" s="1"/>
      <c r="F61" s="1"/>
      <c r="G61" s="7"/>
      <c r="H61" s="7"/>
      <c r="I61" s="7"/>
      <c r="J61" s="7"/>
      <c r="K61" s="7"/>
      <c r="L61" s="7"/>
      <c r="M61" s="7"/>
      <c r="N61" s="7"/>
      <c r="O61" s="6"/>
      <c r="P61" s="7"/>
      <c r="Q61" s="7"/>
    </row>
    <row r="62" spans="1:17" x14ac:dyDescent="0.25">
      <c r="A62" s="7" t="str">
        <f>("93")</f>
        <v>93</v>
      </c>
      <c r="B62" s="7" t="str">
        <f>("166122")</f>
        <v>166122</v>
      </c>
      <c r="C62" s="1" t="s">
        <v>29</v>
      </c>
      <c r="D62" s="1" t="s">
        <v>76</v>
      </c>
      <c r="E62" s="1" t="s">
        <v>85</v>
      </c>
      <c r="F62" s="1" t="s">
        <v>105</v>
      </c>
      <c r="G62" s="7">
        <v>1</v>
      </c>
      <c r="H62" s="7">
        <v>0</v>
      </c>
      <c r="I62" s="7">
        <v>15</v>
      </c>
      <c r="J62" s="7">
        <v>0</v>
      </c>
      <c r="K62" s="7">
        <v>4</v>
      </c>
      <c r="L62" s="7">
        <v>0</v>
      </c>
      <c r="M62" s="7">
        <v>0</v>
      </c>
      <c r="N62" s="7">
        <v>2</v>
      </c>
      <c r="O62" s="6">
        <f>SUM(G62:N62)</f>
        <v>22</v>
      </c>
      <c r="P62" s="7" t="s">
        <v>156</v>
      </c>
      <c r="Q62" s="7">
        <v>20</v>
      </c>
    </row>
    <row r="63" spans="1:17" x14ac:dyDescent="0.25">
      <c r="A63" s="7"/>
      <c r="B63" s="7"/>
      <c r="C63" s="1"/>
      <c r="D63" s="1"/>
      <c r="E63" s="1"/>
      <c r="F63" s="1"/>
      <c r="G63" s="7"/>
      <c r="H63" s="7"/>
      <c r="I63" s="7"/>
      <c r="J63" s="7"/>
      <c r="K63" s="7"/>
      <c r="L63" s="7"/>
      <c r="M63" s="7"/>
      <c r="N63" s="7"/>
      <c r="O63" s="6"/>
      <c r="P63" s="7"/>
      <c r="Q63" s="7"/>
    </row>
    <row r="64" spans="1:17" x14ac:dyDescent="0.25">
      <c r="A64" s="7" t="str">
        <f>("139")</f>
        <v>139</v>
      </c>
      <c r="B64" s="7" t="str">
        <f>("193891")</f>
        <v>193891</v>
      </c>
      <c r="C64" s="1" t="s">
        <v>91</v>
      </c>
      <c r="D64" s="1" t="s">
        <v>51</v>
      </c>
      <c r="E64" s="1" t="s">
        <v>87</v>
      </c>
      <c r="F64" s="1" t="s">
        <v>129</v>
      </c>
      <c r="G64" s="7">
        <v>0</v>
      </c>
      <c r="H64" s="7">
        <v>1</v>
      </c>
      <c r="I64" s="7">
        <v>15</v>
      </c>
      <c r="J64" s="7">
        <v>0</v>
      </c>
      <c r="K64" s="7">
        <v>3</v>
      </c>
      <c r="L64" s="7">
        <v>0</v>
      </c>
      <c r="M64" s="7">
        <v>0</v>
      </c>
      <c r="N64" s="7">
        <v>1</v>
      </c>
      <c r="O64" s="6">
        <f>SUM(G64:N64)</f>
        <v>20</v>
      </c>
      <c r="P64" s="7" t="s">
        <v>156</v>
      </c>
      <c r="Q64" s="7">
        <v>20</v>
      </c>
    </row>
    <row r="65" spans="1:17" x14ac:dyDescent="0.25">
      <c r="A65" s="7" t="str">
        <f>("80")</f>
        <v>80</v>
      </c>
      <c r="B65" s="7" t="str">
        <f>("186243")</f>
        <v>186243</v>
      </c>
      <c r="C65" s="1" t="s">
        <v>88</v>
      </c>
      <c r="D65" s="1" t="s">
        <v>46</v>
      </c>
      <c r="E65" s="1" t="s">
        <v>87</v>
      </c>
      <c r="F65" s="1" t="s">
        <v>129</v>
      </c>
      <c r="G65" s="7">
        <v>2</v>
      </c>
      <c r="H65" s="7">
        <v>5</v>
      </c>
      <c r="I65" s="7">
        <v>15</v>
      </c>
      <c r="J65" s="7">
        <v>2</v>
      </c>
      <c r="K65" s="7">
        <v>9</v>
      </c>
      <c r="L65" s="7">
        <v>14</v>
      </c>
      <c r="M65" s="7">
        <v>4</v>
      </c>
      <c r="N65" s="7">
        <v>0</v>
      </c>
      <c r="O65" s="6">
        <f>SUM(G65:N65)</f>
        <v>51</v>
      </c>
      <c r="P65" s="7" t="s">
        <v>157</v>
      </c>
      <c r="Q65" s="7">
        <v>17</v>
      </c>
    </row>
    <row r="66" spans="1:17" x14ac:dyDescent="0.25">
      <c r="A66" s="7" t="str">
        <f>("256")</f>
        <v>256</v>
      </c>
      <c r="B66" s="7" t="str">
        <f>("183844")</f>
        <v>183844</v>
      </c>
      <c r="C66" s="1" t="s">
        <v>89</v>
      </c>
      <c r="D66" s="1" t="s">
        <v>90</v>
      </c>
      <c r="E66" s="1" t="s">
        <v>87</v>
      </c>
      <c r="F66" s="1" t="s">
        <v>130</v>
      </c>
      <c r="G66" s="7">
        <v>4</v>
      </c>
      <c r="H66" s="7">
        <v>4</v>
      </c>
      <c r="I66" s="7">
        <v>17</v>
      </c>
      <c r="J66" s="7">
        <v>1</v>
      </c>
      <c r="K66" s="7">
        <v>14</v>
      </c>
      <c r="L66" s="7">
        <v>23</v>
      </c>
      <c r="M66" s="7">
        <v>9</v>
      </c>
      <c r="N66" s="7">
        <v>8</v>
      </c>
      <c r="O66" s="6">
        <f>SUM(G66:N66)</f>
        <v>80</v>
      </c>
      <c r="P66" s="7" t="s">
        <v>158</v>
      </c>
      <c r="Q66" s="7">
        <v>13</v>
      </c>
    </row>
    <row r="67" spans="1:17" x14ac:dyDescent="0.25">
      <c r="A67" s="10" t="str">
        <f>("407")</f>
        <v>407</v>
      </c>
      <c r="B67" s="10" t="str">
        <f>("214030")</f>
        <v>214030</v>
      </c>
      <c r="C67" s="11" t="s">
        <v>92</v>
      </c>
      <c r="D67" s="11" t="s">
        <v>93</v>
      </c>
      <c r="E67" s="11" t="s">
        <v>87</v>
      </c>
      <c r="F67" s="11" t="s">
        <v>131</v>
      </c>
      <c r="G67" s="10">
        <v>4</v>
      </c>
      <c r="H67" s="10">
        <v>15</v>
      </c>
      <c r="I67" s="10">
        <v>25</v>
      </c>
      <c r="J67" s="10">
        <v>1</v>
      </c>
      <c r="K67" s="10">
        <v>19</v>
      </c>
      <c r="L67" s="10">
        <v>22</v>
      </c>
      <c r="M67" s="10">
        <v>15</v>
      </c>
      <c r="N67" s="10">
        <v>3</v>
      </c>
      <c r="O67" s="12">
        <f>SUM(G67:N67)</f>
        <v>104</v>
      </c>
      <c r="P67" s="10" t="s">
        <v>160</v>
      </c>
      <c r="Q67" s="10">
        <v>11</v>
      </c>
    </row>
    <row r="68" spans="1:17" x14ac:dyDescent="0.25">
      <c r="A68" s="13"/>
      <c r="B68" s="13"/>
      <c r="C68" s="14"/>
      <c r="D68" s="14"/>
      <c r="E68" s="14"/>
      <c r="F68" s="14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x14ac:dyDescent="0.25">
      <c r="A69" s="15" t="str">
        <f>("112")</f>
        <v>112</v>
      </c>
      <c r="B69" s="15" t="str">
        <f>("197380")</f>
        <v>197380</v>
      </c>
      <c r="C69" s="16" t="s">
        <v>86</v>
      </c>
      <c r="D69" s="16" t="s">
        <v>3</v>
      </c>
      <c r="E69" s="16" t="s">
        <v>173</v>
      </c>
      <c r="F69" s="16" t="s">
        <v>129</v>
      </c>
      <c r="G69" s="15">
        <v>3</v>
      </c>
      <c r="H69" s="15">
        <v>13</v>
      </c>
      <c r="I69" s="15">
        <v>21</v>
      </c>
      <c r="J69" s="15">
        <v>14</v>
      </c>
      <c r="K69" s="15">
        <v>7</v>
      </c>
      <c r="L69" s="15">
        <v>7</v>
      </c>
      <c r="M69" s="15">
        <v>9</v>
      </c>
      <c r="N69" s="15">
        <v>2</v>
      </c>
      <c r="O69" s="15">
        <f>SUM(G69:N69)</f>
        <v>76</v>
      </c>
      <c r="P69" s="15" t="s">
        <v>156</v>
      </c>
      <c r="Q69" s="15">
        <v>20</v>
      </c>
    </row>
  </sheetData>
  <sortState xmlns:xlrd2="http://schemas.microsoft.com/office/spreadsheetml/2017/richdata2" ref="A13:R26">
    <sortCondition ref="O13:O26"/>
  </sortState>
  <mergeCells count="4">
    <mergeCell ref="A5:F5"/>
    <mergeCell ref="A1:F1"/>
    <mergeCell ref="C7:D7"/>
    <mergeCell ref="A3:F3"/>
  </mergeCells>
  <phoneticPr fontId="18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EntrantsDetails - 2022-11-20T17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Mike Wiseman</cp:lastModifiedBy>
  <dcterms:created xsi:type="dcterms:W3CDTF">2022-11-20T17:24:49Z</dcterms:created>
  <dcterms:modified xsi:type="dcterms:W3CDTF">2022-11-24T10:54:01Z</dcterms:modified>
</cp:coreProperties>
</file>